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изнес-планы в работе\"/>
    </mc:Choice>
  </mc:AlternateContent>
  <xr:revisionPtr revIDLastSave="0" documentId="13_ncr:1_{A2FB26D9-F407-49A4-8E73-5E268C7C8641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PP-DCF" sheetId="14" r:id="rId1"/>
  </sheets>
  <definedNames>
    <definedName name="Company_Name">'PP-DCF'!$E$8</definedName>
    <definedName name="Discount_Rate">'PP-DCF'!$K$9</definedName>
    <definedName name="Multiples_Method">'PP-DCF'!$F$11</definedName>
    <definedName name="Share_Price">'PP-DCF'!$G$9</definedName>
    <definedName name="Tax_Rate">'PP-DCF'!$K$8</definedName>
    <definedName name="Terminal_Growth_Rate">'PP-DCF'!$K$13</definedName>
    <definedName name="Terminal_Multiple">'PP-DCF'!$F$13</definedName>
    <definedName name="_xlnm.Print_Area" localSheetId="0">'PP-DCF'!$A$1:$R$66</definedName>
  </definedNames>
  <calcPr calcId="191029"/>
</workbook>
</file>

<file path=xl/calcChain.xml><?xml version="1.0" encoding="utf-8"?>
<calcChain xmlns="http://schemas.openxmlformats.org/spreadsheetml/2006/main">
  <c r="G38" i="14" l="1"/>
  <c r="G47" i="14"/>
  <c r="G49" i="14" s="1"/>
  <c r="J55" i="14"/>
  <c r="I56" i="14"/>
  <c r="H56" i="14"/>
  <c r="H59" i="14"/>
  <c r="B6" i="14" l="1"/>
  <c r="B2" i="14"/>
  <c r="H64" i="14"/>
  <c r="G64" i="14"/>
  <c r="G65" i="14" s="1"/>
  <c r="H47" i="14"/>
  <c r="G34" i="14"/>
  <c r="G41" i="14" s="1"/>
  <c r="H30" i="14"/>
  <c r="I30" i="14" s="1"/>
  <c r="J30" i="14" s="1"/>
  <c r="K30" i="14" s="1"/>
  <c r="L30" i="14" s="1"/>
  <c r="M30" i="14" s="1"/>
  <c r="N30" i="14" s="1"/>
  <c r="O30" i="14" s="1"/>
  <c r="P30" i="14" s="1"/>
  <c r="G45" i="14" l="1"/>
  <c r="G42" i="14"/>
  <c r="G59" i="14"/>
  <c r="G56" i="14"/>
  <c r="G53" i="14"/>
  <c r="H34" i="14"/>
  <c r="H38" i="14" s="1"/>
  <c r="H41" i="14" s="1"/>
  <c r="H42" i="14" s="1"/>
  <c r="J34" i="14"/>
  <c r="I34" i="14"/>
  <c r="K34" i="14"/>
  <c r="L34" i="14"/>
  <c r="M34" i="14"/>
  <c r="N34" i="14"/>
  <c r="O34" i="14"/>
  <c r="P34" i="14"/>
  <c r="H45" i="14" l="1"/>
  <c r="H53" i="14"/>
  <c r="I38" i="14"/>
  <c r="I41" i="14" s="1"/>
  <c r="I44" i="14" l="1"/>
  <c r="I64" i="14" s="1"/>
  <c r="I42" i="14"/>
  <c r="I59" i="14"/>
  <c r="I53" i="14"/>
  <c r="J38" i="14"/>
  <c r="J41" i="14" s="1"/>
  <c r="I47" i="14" l="1"/>
  <c r="J42" i="14"/>
  <c r="K38" i="14"/>
  <c r="L38" i="14" s="1"/>
  <c r="K41" i="14" l="1"/>
  <c r="K42" i="14" s="1"/>
  <c r="M38" i="14"/>
  <c r="L41" i="14"/>
  <c r="L42" i="14" l="1"/>
  <c r="N38" i="14"/>
  <c r="M41" i="14"/>
  <c r="M42" i="14" s="1"/>
  <c r="O38" i="14" l="1"/>
  <c r="N41" i="14"/>
  <c r="N42" i="14" s="1"/>
  <c r="O41" i="14" l="1"/>
  <c r="O42" i="14" s="1"/>
  <c r="P38" i="14"/>
  <c r="P41" i="14" s="1"/>
  <c r="P42" i="14" s="1"/>
  <c r="K20" i="14" l="1"/>
  <c r="H25" i="14"/>
  <c r="I25" i="14" s="1"/>
  <c r="K59" i="14" l="1"/>
  <c r="L59" i="14" s="1"/>
  <c r="K56" i="14"/>
  <c r="L56" i="14" l="1"/>
  <c r="L55" i="14" s="1"/>
  <c r="K55" i="14"/>
  <c r="M59" i="14"/>
  <c r="M56" i="14" l="1"/>
  <c r="M55" i="14" s="1"/>
  <c r="J58" i="14"/>
  <c r="J44" i="14"/>
  <c r="N59" i="14"/>
  <c r="O59" i="14" s="1"/>
  <c r="J52" i="14"/>
  <c r="N56" i="14" l="1"/>
  <c r="J47" i="14"/>
  <c r="J64" i="14"/>
  <c r="J65" i="14" s="1"/>
  <c r="P59" i="14"/>
  <c r="I65" i="14"/>
  <c r="H65" i="14"/>
  <c r="K58" i="14"/>
  <c r="K44" i="14"/>
  <c r="K52" i="14"/>
  <c r="J25" i="14"/>
  <c r="K25" i="14" s="1"/>
  <c r="L25" i="14" s="1"/>
  <c r="M25" i="14" s="1"/>
  <c r="N25" i="14" s="1"/>
  <c r="O25" i="14" s="1"/>
  <c r="P25" i="14" s="1"/>
  <c r="O56" i="14" l="1"/>
  <c r="N55" i="14"/>
  <c r="K47" i="14"/>
  <c r="K64" i="14"/>
  <c r="K65" i="14" s="1"/>
  <c r="L44" i="14"/>
  <c r="L58" i="14"/>
  <c r="L52" i="14"/>
  <c r="J49" i="14"/>
  <c r="J61" i="14" s="1"/>
  <c r="O55" i="14" l="1"/>
  <c r="P56" i="14"/>
  <c r="P55" i="14" s="1"/>
  <c r="L47" i="14"/>
  <c r="L64" i="14"/>
  <c r="L65" i="14" s="1"/>
  <c r="K49" i="14"/>
  <c r="K61" i="14" s="1"/>
  <c r="M44" i="14"/>
  <c r="M58" i="14"/>
  <c r="M52" i="14"/>
  <c r="H49" i="14"/>
  <c r="H61" i="14" s="1"/>
  <c r="I49" i="14"/>
  <c r="I61" i="14" s="1"/>
  <c r="M47" i="14" l="1"/>
  <c r="M64" i="14"/>
  <c r="M65" i="14" s="1"/>
  <c r="O44" i="14"/>
  <c r="O52" i="14"/>
  <c r="O58" i="14"/>
  <c r="N44" i="14"/>
  <c r="N52" i="14"/>
  <c r="N58" i="14"/>
  <c r="L49" i="14"/>
  <c r="L61" i="14" s="1"/>
  <c r="N47" i="14" l="1"/>
  <c r="N64" i="14"/>
  <c r="O47" i="14"/>
  <c r="O64" i="14"/>
  <c r="P44" i="14"/>
  <c r="P52" i="14"/>
  <c r="P58" i="14"/>
  <c r="J62" i="14"/>
  <c r="I62" i="14"/>
  <c r="M49" i="14"/>
  <c r="M61" i="14" s="1"/>
  <c r="K62" i="14"/>
  <c r="G61" i="14"/>
  <c r="G62" i="14" l="1"/>
  <c r="P47" i="14"/>
  <c r="P64" i="14"/>
  <c r="F14" i="14" s="1"/>
  <c r="F17" i="14" s="1"/>
  <c r="O65" i="14"/>
  <c r="O49" i="14"/>
  <c r="O61" i="14" s="1"/>
  <c r="P65" i="14"/>
  <c r="N65" i="14"/>
  <c r="N49" i="14"/>
  <c r="N61" i="14" s="1"/>
  <c r="P49" i="14" l="1"/>
  <c r="L62" i="14"/>
  <c r="O62" i="14"/>
  <c r="H62" i="14"/>
  <c r="P61" i="14" l="1"/>
  <c r="F18" i="14" s="1"/>
  <c r="N62" i="14"/>
  <c r="M62" i="14"/>
  <c r="P62" i="14" l="1"/>
  <c r="F15" i="14"/>
  <c r="K14" i="14"/>
  <c r="K15" i="14" s="1"/>
  <c r="K18" i="14"/>
  <c r="K17" i="14" l="1"/>
  <c r="F19" i="14"/>
  <c r="F21" i="14" s="1"/>
  <c r="K19" i="14" l="1"/>
  <c r="K21" i="14" s="1"/>
  <c r="F23" i="14"/>
  <c r="K23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F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~$100 million in funding so far, and no debt.</t>
        </r>
      </text>
    </comment>
  </commentList>
</comments>
</file>

<file path=xl/sharedStrings.xml><?xml version="1.0" encoding="utf-8"?>
<sst xmlns="http://schemas.openxmlformats.org/spreadsheetml/2006/main" count="85" uniqueCount="55">
  <si>
    <t>EBITDA:</t>
  </si>
  <si>
    <t>%</t>
  </si>
  <si>
    <t>Ставка дисконтирования (WACC):</t>
  </si>
  <si>
    <t>Название компании:</t>
  </si>
  <si>
    <t>Эффективная ставка налога:</t>
  </si>
  <si>
    <t>(-) Чистая Задолженность:</t>
  </si>
  <si>
    <t>Прогнозные значения</t>
  </si>
  <si>
    <t>1-й год</t>
  </si>
  <si>
    <t>2-й год</t>
  </si>
  <si>
    <t>3-й год</t>
  </si>
  <si>
    <t>4-й год</t>
  </si>
  <si>
    <t>5-й год</t>
  </si>
  <si>
    <t>6-й год</t>
  </si>
  <si>
    <t>7-й год</t>
  </si>
  <si>
    <t>8-й год</t>
  </si>
  <si>
    <t>9-й год</t>
  </si>
  <si>
    <t>10-й год</t>
  </si>
  <si>
    <t>Единица измерения:</t>
  </si>
  <si>
    <t>Темп роста:</t>
  </si>
  <si>
    <t>Прогноз свободного денежного потока (FCF)</t>
  </si>
  <si>
    <t>Безрычажный свободный денежный поток (UFCF)</t>
  </si>
  <si>
    <t>(В миллионах долларов, за исключением данных по акциям)</t>
  </si>
  <si>
    <t>Терминальная стоимость - Метод оценки с использованием мультипликатора:</t>
  </si>
  <si>
    <t>Терминальная стоимость - Метод бессрочного роста:</t>
  </si>
  <si>
    <t>Предполагаемая стоимость предприятия:</t>
  </si>
  <si>
    <t>Доля предполагаемой стоимости предприятия от терминальной стоимости:</t>
  </si>
  <si>
    <t>Предполагаемая стоимость капитала:</t>
  </si>
  <si>
    <t>(+) Приведенная стоимость терминальной стоимости:</t>
  </si>
  <si>
    <t>(+) Сумма приведенных стоимостей свободных денежных потоков:</t>
  </si>
  <si>
    <t>Базовая терминальная стоимость:</t>
  </si>
  <si>
    <t>Предполагаемый темп роста терминальных свободных денежных потоков:</t>
  </si>
  <si>
    <t>Базовый терминальный мультипликатор EBITDA</t>
  </si>
  <si>
    <t>Количество скачиваний приложений:</t>
  </si>
  <si>
    <t>Количество платных пользователей</t>
  </si>
  <si>
    <t>Темп роста выручки:</t>
  </si>
  <si>
    <t>Выручка:</t>
  </si>
  <si>
    <t>% от выручки:</t>
  </si>
  <si>
    <t>(-) капитальные расходы:</t>
  </si>
  <si>
    <t>Чистое изменение оборотных средств:</t>
  </si>
  <si>
    <t>% изменения в выручке:</t>
  </si>
  <si>
    <t>Износ и амортизация:</t>
  </si>
  <si>
    <t>Корректировка на неденежные расходы:</t>
  </si>
  <si>
    <t>Чистая операционная прибыль после выплаты налогов (NOPAT):</t>
  </si>
  <si>
    <t>Операционная прибыль:</t>
  </si>
  <si>
    <t>Операционная рентабельность:</t>
  </si>
  <si>
    <t>(-) Выплаченные налоги:</t>
  </si>
  <si>
    <t>Млн. долл.</t>
  </si>
  <si>
    <t>Скачивания, млн.</t>
  </si>
  <si>
    <t>Пользователи, млн.</t>
  </si>
  <si>
    <t>Годовая выручка на 1 платного пользователя:</t>
  </si>
  <si>
    <t>Долл. на конец периода</t>
  </si>
  <si>
    <t>% Конверсия платных пользователей:</t>
  </si>
  <si>
    <t>Количество новых платных пользователей:</t>
  </si>
  <si>
    <t>Ежегодный отток платных пользователей:</t>
  </si>
  <si>
    <t>Вашен 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</si>
</sst>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&quot;$&quot;* #,##0.00_);_(&quot;$&quot;* \(#,##0.00\);_(&quot;$&quot;* &quot;-&quot;??_);_(@_)"/>
    <numFmt numFmtId="166" formatCode="_(&quot;$&quot;* #,##0.0_);_(&quot;$&quot;* \(#,##0.0\);_(&quot;$&quot;* &quot;-&quot;?_);_(@_)"/>
    <numFmt numFmtId="167" formatCode="0.0%;\(0.0%\)"/>
    <numFmt numFmtId="168" formatCode="_(* #,##0.0_);_(* \(#,##0.0\);_(* &quot;-&quot;?_);_(@_)"/>
    <numFmt numFmtId="169" formatCode="_(0.0\ \x_);\(0.0\ \x\);_(&quot;–&quot;_);_(@_)"/>
    <numFmt numFmtId="170" formatCode="_(0.0%_);\(0.0%\);_(&quot;–&quot;_);_(@_)"/>
    <numFmt numFmtId="171" formatCode="0.0\ \x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sz val="11"/>
      <name val="Calibri"/>
      <family val="2"/>
    </font>
    <font>
      <b/>
      <u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0" fontId="1" fillId="0" borderId="0"/>
    <xf numFmtId="0" fontId="10" fillId="3" borderId="3" applyNumberFormat="0" applyFont="0" applyAlignment="0" applyProtection="0"/>
  </cellStyleXfs>
  <cellXfs count="79">
    <xf numFmtId="0" fontId="0" fillId="0" borderId="0" xfId="0"/>
    <xf numFmtId="0" fontId="5" fillId="0" borderId="0" xfId="0" applyFont="1"/>
    <xf numFmtId="0" fontId="0" fillId="0" borderId="0" xfId="0" applyFont="1"/>
    <xf numFmtId="0" fontId="1" fillId="0" borderId="0" xfId="1" applyBorder="1"/>
    <xf numFmtId="0" fontId="1" fillId="0" borderId="0" xfId="1"/>
    <xf numFmtId="0" fontId="6" fillId="0" borderId="0" xfId="1" applyFont="1"/>
    <xf numFmtId="0" fontId="6" fillId="0" borderId="0" xfId="1" applyFont="1" applyBorder="1"/>
    <xf numFmtId="0" fontId="7" fillId="0" borderId="0" xfId="1" applyFont="1" applyBorder="1"/>
    <xf numFmtId="164" fontId="6" fillId="0" borderId="0" xfId="1" applyNumberFormat="1" applyFont="1" applyBorder="1"/>
    <xf numFmtId="166" fontId="7" fillId="0" borderId="0" xfId="1" applyNumberFormat="1" applyFont="1" applyBorder="1"/>
    <xf numFmtId="0" fontId="6" fillId="0" borderId="1" xfId="1" applyFont="1" applyBorder="1"/>
    <xf numFmtId="164" fontId="9" fillId="0" borderId="0" xfId="1" applyNumberFormat="1" applyFont="1" applyBorder="1"/>
    <xf numFmtId="167" fontId="8" fillId="0" borderId="0" xfId="1" applyNumberFormat="1" applyFont="1" applyBorder="1"/>
    <xf numFmtId="0" fontId="8" fillId="0" borderId="0" xfId="1" applyFont="1" applyAlignment="1">
      <alignment horizontal="left" inden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left" indent="2"/>
    </xf>
    <xf numFmtId="0" fontId="7" fillId="4" borderId="0" xfId="1" applyFont="1" applyFill="1" applyBorder="1"/>
    <xf numFmtId="167" fontId="11" fillId="0" borderId="0" xfId="1" applyNumberFormat="1" applyFont="1" applyBorder="1"/>
    <xf numFmtId="168" fontId="13" fillId="0" borderId="0" xfId="1" applyNumberFormat="1" applyFont="1" applyBorder="1"/>
    <xf numFmtId="168" fontId="12" fillId="0" borderId="0" xfId="1" applyNumberFormat="1" applyFont="1" applyBorder="1"/>
    <xf numFmtId="168" fontId="6" fillId="0" borderId="0" xfId="1" applyNumberFormat="1" applyFont="1" applyBorder="1"/>
    <xf numFmtId="168" fontId="7" fillId="0" borderId="0" xfId="1" applyNumberFormat="1" applyFont="1" applyBorder="1"/>
    <xf numFmtId="167" fontId="14" fillId="5" borderId="3" xfId="2" applyNumberFormat="1" applyFont="1" applyFill="1" applyBorder="1" applyAlignment="1"/>
    <xf numFmtId="167" fontId="15" fillId="5" borderId="3" xfId="2" applyNumberFormat="1" applyFont="1" applyFill="1" applyBorder="1" applyAlignment="1"/>
    <xf numFmtId="166" fontId="10" fillId="0" borderId="0" xfId="0" applyNumberFormat="1" applyFont="1"/>
    <xf numFmtId="168" fontId="10" fillId="0" borderId="0" xfId="0" applyNumberFormat="1" applyFont="1" applyBorder="1"/>
    <xf numFmtId="168" fontId="10" fillId="0" borderId="2" xfId="0" applyNumberFormat="1" applyFont="1" applyBorder="1"/>
    <xf numFmtId="166" fontId="5" fillId="0" borderId="0" xfId="0" applyNumberFormat="1" applyFont="1"/>
    <xf numFmtId="168" fontId="7" fillId="0" borderId="1" xfId="1" applyNumberFormat="1" applyFont="1" applyBorder="1"/>
    <xf numFmtId="167" fontId="6" fillId="0" borderId="0" xfId="1" applyNumberFormat="1" applyFont="1" applyBorder="1"/>
    <xf numFmtId="0" fontId="6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66" fontId="7" fillId="2" borderId="0" xfId="1" applyNumberFormat="1" applyFont="1" applyFill="1" applyBorder="1"/>
    <xf numFmtId="166" fontId="7" fillId="4" borderId="0" xfId="1" applyNumberFormat="1" applyFont="1" applyFill="1" applyBorder="1"/>
    <xf numFmtId="0" fontId="6" fillId="0" borderId="2" xfId="1" applyFont="1" applyBorder="1" applyAlignment="1">
      <alignment horizontal="left" indent="1"/>
    </xf>
    <xf numFmtId="166" fontId="6" fillId="0" borderId="0" xfId="1" applyNumberFormat="1" applyFont="1"/>
    <xf numFmtId="165" fontId="10" fillId="0" borderId="0" xfId="0" applyNumberFormat="1" applyFont="1"/>
    <xf numFmtId="0" fontId="4" fillId="6" borderId="0" xfId="1" applyFont="1" applyFill="1" applyBorder="1"/>
    <xf numFmtId="0" fontId="4" fillId="6" borderId="2" xfId="1" applyFont="1" applyFill="1" applyBorder="1"/>
    <xf numFmtId="14" fontId="4" fillId="6" borderId="2" xfId="1" applyNumberFormat="1" applyFont="1" applyFill="1" applyBorder="1" applyAlignment="1">
      <alignment horizontal="center"/>
    </xf>
    <xf numFmtId="0" fontId="4" fillId="6" borderId="2" xfId="1" applyNumberFormat="1" applyFont="1" applyFill="1" applyBorder="1" applyAlignment="1">
      <alignment horizontal="center"/>
    </xf>
    <xf numFmtId="0" fontId="4" fillId="6" borderId="8" xfId="1" applyFont="1" applyFill="1" applyBorder="1" applyAlignment="1">
      <alignment horizontal="centerContinuous"/>
    </xf>
    <xf numFmtId="0" fontId="16" fillId="6" borderId="8" xfId="1" applyFont="1" applyFill="1" applyBorder="1" applyAlignment="1">
      <alignment horizontal="centerContinuous"/>
    </xf>
    <xf numFmtId="167" fontId="14" fillId="5" borderId="3" xfId="2" applyNumberFormat="1" applyFont="1" applyFill="1" applyBorder="1" applyAlignment="1">
      <alignment horizontal="center"/>
    </xf>
    <xf numFmtId="169" fontId="14" fillId="5" borderId="4" xfId="0" applyNumberFormat="1" applyFont="1" applyFill="1" applyBorder="1" applyAlignment="1">
      <alignment horizontal="center"/>
    </xf>
    <xf numFmtId="170" fontId="14" fillId="5" borderId="4" xfId="0" applyNumberFormat="1" applyFont="1" applyFill="1" applyBorder="1" applyAlignment="1">
      <alignment horizontal="center"/>
    </xf>
    <xf numFmtId="0" fontId="13" fillId="5" borderId="6" xfId="2" applyFont="1" applyFill="1" applyBorder="1" applyAlignment="1">
      <alignment horizontal="centerContinuous"/>
    </xf>
    <xf numFmtId="0" fontId="13" fillId="5" borderId="7" xfId="2" applyFont="1" applyFill="1" applyBorder="1" applyAlignment="1">
      <alignment horizontal="centerContinuous"/>
    </xf>
    <xf numFmtId="0" fontId="5" fillId="7" borderId="2" xfId="0" applyFont="1" applyFill="1" applyBorder="1"/>
    <xf numFmtId="0" fontId="10" fillId="7" borderId="2" xfId="0" applyFont="1" applyFill="1" applyBorder="1" applyAlignment="1"/>
    <xf numFmtId="168" fontId="6" fillId="0" borderId="0" xfId="0" applyNumberFormat="1" applyFont="1" applyFill="1" applyBorder="1"/>
    <xf numFmtId="168" fontId="13" fillId="5" borderId="5" xfId="0" applyNumberFormat="1" applyFont="1" applyFill="1" applyBorder="1"/>
    <xf numFmtId="168" fontId="13" fillId="0" borderId="0" xfId="0" applyNumberFormat="1" applyFont="1" applyBorder="1" applyAlignment="1"/>
    <xf numFmtId="168" fontId="6" fillId="0" borderId="0" xfId="0" applyNumberFormat="1" applyFont="1" applyBorder="1" applyAlignment="1"/>
    <xf numFmtId="171" fontId="6" fillId="0" borderId="0" xfId="1" applyNumberFormat="1" applyFont="1"/>
    <xf numFmtId="168" fontId="6" fillId="0" borderId="0" xfId="1" applyNumberFormat="1" applyFont="1"/>
    <xf numFmtId="165" fontId="13" fillId="5" borderId="3" xfId="2" applyNumberFormat="1" applyFont="1" applyFill="1" applyBorder="1" applyAlignment="1"/>
    <xf numFmtId="165" fontId="13" fillId="5" borderId="7" xfId="2" applyNumberFormat="1" applyFont="1" applyFill="1" applyBorder="1" applyAlignment="1"/>
    <xf numFmtId="0" fontId="8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left"/>
    </xf>
    <xf numFmtId="0" fontId="17" fillId="6" borderId="2" xfId="1" applyFont="1" applyFill="1" applyBorder="1" applyAlignment="1">
      <alignment horizontal="center" wrapText="1"/>
    </xf>
    <xf numFmtId="0" fontId="6" fillId="0" borderId="0" xfId="1" applyFont="1" applyBorder="1" applyAlignment="1"/>
    <xf numFmtId="0" fontId="8" fillId="0" borderId="0" xfId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6" fillId="0" borderId="0" xfId="1" applyFont="1" applyAlignment="1">
      <alignment horizontal="left"/>
    </xf>
    <xf numFmtId="0" fontId="7" fillId="4" borderId="0" xfId="1" applyFont="1" applyFill="1" applyBorder="1" applyAlignment="1">
      <alignment horizontal="left"/>
    </xf>
    <xf numFmtId="0" fontId="19" fillId="0" borderId="0" xfId="1" applyFont="1" applyAlignment="1">
      <alignment horizontal="left"/>
    </xf>
    <xf numFmtId="0" fontId="1" fillId="0" borderId="0" xfId="1" applyAlignment="1">
      <alignment horizontal="left"/>
    </xf>
    <xf numFmtId="0" fontId="8" fillId="0" borderId="0" xfId="1" applyFont="1" applyBorder="1" applyAlignment="1"/>
    <xf numFmtId="166" fontId="7" fillId="0" borderId="0" xfId="1" applyNumberFormat="1" applyFont="1" applyBorder="1" applyAlignment="1">
      <alignment horizontal="left" vertical="top"/>
    </xf>
    <xf numFmtId="0" fontId="6" fillId="0" borderId="0" xfId="1" applyFont="1" applyBorder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9" xfId="1" applyBorder="1" applyAlignment="1">
      <alignment horizontal="left" wrapText="1"/>
    </xf>
    <xf numFmtId="0" fontId="5" fillId="7" borderId="2" xfId="0" applyFont="1" applyFill="1" applyBorder="1" applyAlignment="1">
      <alignment horizontal="left" wrapText="1"/>
    </xf>
    <xf numFmtId="0" fontId="4" fillId="6" borderId="2" xfId="1" applyFont="1" applyFill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7" fillId="2" borderId="0" xfId="1" applyFont="1" applyFill="1" applyBorder="1" applyAlignment="1">
      <alignment horizontal="left" wrapText="1"/>
    </xf>
  </cellXfs>
  <cellStyles count="3">
    <cellStyle name="Normal 2" xfId="1" xr:uid="{00000000-0005-0000-0000-000001000000}"/>
    <cellStyle name="Обычный" xfId="0" builtinId="0"/>
    <cellStyle name="Примечание" xfId="2" builtinId="10"/>
  </cellStyles>
  <dxfs count="0"/>
  <tableStyles count="0" defaultTableStyle="TableStyleMedium9" defaultPivotStyle="PivotStyleLight16"/>
  <colors>
    <mruColors>
      <color rgb="FF0000FF"/>
      <color rgb="FFB2B2B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Z70"/>
  <sheetViews>
    <sheetView showGridLines="0" tabSelected="1" zoomScale="115" zoomScaleNormal="115" workbookViewId="0">
      <selection activeCell="E9" sqref="E9"/>
    </sheetView>
  </sheetViews>
  <sheetFormatPr defaultColWidth="9.140625" defaultRowHeight="12.75" outlineLevelRow="1" x14ac:dyDescent="0.2"/>
  <cols>
    <col min="1" max="2" width="2.7109375" style="4" customWidth="1"/>
    <col min="3" max="3" width="16.7109375" style="4" customWidth="1"/>
    <col min="4" max="4" width="12.7109375" style="4" customWidth="1"/>
    <col min="5" max="5" width="15.140625" style="4" customWidth="1"/>
    <col min="6" max="6" width="25.7109375" style="4" customWidth="1"/>
    <col min="7" max="9" width="11.140625" style="4" customWidth="1"/>
    <col min="10" max="10" width="20.85546875" style="4" customWidth="1"/>
    <col min="11" max="11" width="16.7109375" style="4" customWidth="1"/>
    <col min="12" max="16" width="11.140625" style="4" customWidth="1"/>
    <col min="17" max="28" width="10.7109375" style="4" customWidth="1"/>
    <col min="29" max="16384" width="9.140625" style="4"/>
  </cols>
  <sheetData>
    <row r="2" spans="2:18" ht="15" x14ac:dyDescent="0.25">
      <c r="B2" s="1" t="str">
        <f>"Анализ дисконтированных денежных потоков - "&amp;Company_Name&amp;" (Unlevered DCF)"</f>
        <v>Анализ дисконтированных денежных потоков - Вашен название (Unlevered DCF)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5" x14ac:dyDescent="0.25">
      <c r="B3" s="2" t="s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15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15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8" ht="15" x14ac:dyDescent="0.25">
      <c r="B6" s="38" t="str">
        <f>Company_Name&amp;" - DCF Допущения  &amp; Результаты:"</f>
        <v>Вашен название - DCF Допущения  &amp; Результаты:</v>
      </c>
      <c r="C6" s="38"/>
      <c r="D6" s="38"/>
      <c r="E6" s="38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2:18" ht="15" x14ac:dyDescent="0.2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 x14ac:dyDescent="0.25">
      <c r="C8" t="s">
        <v>3</v>
      </c>
      <c r="D8"/>
      <c r="E8" s="46" t="s">
        <v>54</v>
      </c>
      <c r="F8" s="47"/>
      <c r="H8" s="6" t="s">
        <v>4</v>
      </c>
      <c r="I8" s="3"/>
      <c r="J8" s="3"/>
      <c r="K8" s="43">
        <v>0.3</v>
      </c>
    </row>
    <row r="9" spans="2:18" ht="15" x14ac:dyDescent="0.25">
      <c r="C9"/>
      <c r="H9" s="6" t="s">
        <v>2</v>
      </c>
      <c r="I9" s="6"/>
      <c r="J9" s="6"/>
      <c r="K9" s="43">
        <v>0.5</v>
      </c>
    </row>
    <row r="10" spans="2:18" ht="15" x14ac:dyDescent="0.25">
      <c r="C10" s="5"/>
      <c r="D10" s="5"/>
      <c r="E10" s="5"/>
      <c r="F10" s="5"/>
      <c r="G10" s="5"/>
    </row>
    <row r="11" spans="2:18" ht="29.25" customHeight="1" x14ac:dyDescent="0.25">
      <c r="C11" s="74" t="s">
        <v>22</v>
      </c>
      <c r="D11" s="74"/>
      <c r="E11" s="74"/>
      <c r="F11" s="49"/>
      <c r="G11" s="5"/>
      <c r="H11" s="48" t="s">
        <v>23</v>
      </c>
      <c r="I11" s="49"/>
      <c r="J11" s="49"/>
      <c r="K11" s="49"/>
    </row>
    <row r="12" spans="2:18" ht="15" x14ac:dyDescent="0.25">
      <c r="G12" s="5"/>
      <c r="H12" s="5"/>
      <c r="I12" s="5"/>
      <c r="J12" s="5"/>
      <c r="K12" s="5"/>
    </row>
    <row r="13" spans="2:18" ht="30.75" customHeight="1" x14ac:dyDescent="0.25">
      <c r="C13" s="72" t="s">
        <v>31</v>
      </c>
      <c r="D13" s="72"/>
      <c r="E13" s="73"/>
      <c r="F13" s="44">
        <v>100</v>
      </c>
      <c r="G13" s="5"/>
      <c r="H13" s="71" t="s">
        <v>30</v>
      </c>
      <c r="I13" s="71"/>
      <c r="J13" s="71"/>
      <c r="K13" s="45">
        <v>0.49190214422245276</v>
      </c>
    </row>
    <row r="14" spans="2:18" ht="15" x14ac:dyDescent="0.25">
      <c r="C14" s="6" t="s">
        <v>29</v>
      </c>
      <c r="F14" s="36">
        <f>+Terminal_Multiple*P64</f>
        <v>52940.176807809301</v>
      </c>
      <c r="G14" s="5"/>
      <c r="H14" s="6" t="s">
        <v>29</v>
      </c>
      <c r="I14" s="6"/>
      <c r="J14" s="6"/>
      <c r="K14" s="24">
        <f>+P61*(1+Terminal_Growth_Rate)/(Discount_Rate-Terminal_Growth_Rate)</f>
        <v>52940.176807809257</v>
      </c>
    </row>
    <row r="15" spans="2:18" ht="29.25" customHeight="1" x14ac:dyDescent="0.25">
      <c r="C15" s="71" t="s">
        <v>30</v>
      </c>
      <c r="D15" s="71"/>
      <c r="E15" s="71"/>
      <c r="F15" s="29">
        <f>(F14*Discount_Rate-P61)/(P61+F14)</f>
        <v>0.49190214422245276</v>
      </c>
      <c r="G15" s="5"/>
      <c r="H15" s="4" t="s">
        <v>31</v>
      </c>
      <c r="K15" s="54">
        <f>+K14/P64</f>
        <v>99.999999999999915</v>
      </c>
      <c r="L15" s="30"/>
      <c r="M15" s="30"/>
      <c r="N15" s="30"/>
      <c r="O15" s="30"/>
      <c r="P15" s="30"/>
      <c r="Q15" s="5"/>
      <c r="R15" s="5"/>
    </row>
    <row r="16" spans="2:18" ht="15" x14ac:dyDescent="0.25">
      <c r="G16" s="5"/>
      <c r="H16" s="5"/>
      <c r="I16" s="5"/>
      <c r="J16" s="5"/>
      <c r="K16" s="5"/>
      <c r="L16" s="30"/>
      <c r="M16" s="30"/>
      <c r="N16" s="30"/>
      <c r="O16" s="30"/>
      <c r="P16" s="30"/>
      <c r="Q16" s="5"/>
      <c r="R16" s="5"/>
    </row>
    <row r="17" spans="2:26" ht="30" customHeight="1" x14ac:dyDescent="0.25">
      <c r="C17" s="71" t="s">
        <v>27</v>
      </c>
      <c r="D17" s="71"/>
      <c r="E17" s="71"/>
      <c r="F17" s="25">
        <f>F14/((1+Discount_Rate)^$P$25)</f>
        <v>918.06365986209289</v>
      </c>
      <c r="G17" s="5"/>
      <c r="H17" s="71" t="s">
        <v>27</v>
      </c>
      <c r="I17" s="71"/>
      <c r="J17" s="71"/>
      <c r="K17" s="25">
        <f>K14/((1+Discount_Rate)^$P$25)</f>
        <v>918.06365986209221</v>
      </c>
      <c r="L17" s="30"/>
      <c r="M17" s="30"/>
      <c r="N17" s="30"/>
      <c r="O17" s="30"/>
      <c r="P17" s="30"/>
      <c r="Q17" s="5"/>
      <c r="R17" s="5"/>
    </row>
    <row r="18" spans="2:26" ht="27.75" customHeight="1" x14ac:dyDescent="0.25">
      <c r="C18" s="76" t="s">
        <v>28</v>
      </c>
      <c r="D18" s="76"/>
      <c r="E18" s="76"/>
      <c r="F18" s="26">
        <f>NPV(Discount_Rate,$G$61:$P$61)</f>
        <v>6.0828138738154678</v>
      </c>
      <c r="G18" s="5"/>
      <c r="H18" s="76" t="s">
        <v>28</v>
      </c>
      <c r="I18" s="76"/>
      <c r="J18" s="76"/>
      <c r="K18" s="26">
        <f>NPV(Discount_Rate,$G$61:$P$61)</f>
        <v>6.0828138738154678</v>
      </c>
      <c r="L18" s="30"/>
      <c r="M18" s="30"/>
      <c r="N18" s="30"/>
      <c r="O18" s="30"/>
      <c r="P18" s="30"/>
      <c r="Q18" s="5"/>
      <c r="R18" s="5"/>
    </row>
    <row r="19" spans="2:26" ht="15" x14ac:dyDescent="0.25">
      <c r="C19" s="7" t="s">
        <v>24</v>
      </c>
      <c r="D19" s="6"/>
      <c r="E19" s="6"/>
      <c r="F19" s="27">
        <f>SUM(F17:F18)</f>
        <v>924.14647373590833</v>
      </c>
      <c r="G19" s="5"/>
      <c r="H19" s="7" t="s">
        <v>24</v>
      </c>
      <c r="I19" s="6"/>
      <c r="J19" s="6"/>
      <c r="K19" s="27">
        <f>SUM(K17:K18)</f>
        <v>924.14647373590765</v>
      </c>
      <c r="L19" s="30"/>
      <c r="M19" s="30"/>
      <c r="N19" s="30"/>
      <c r="O19" s="30"/>
      <c r="P19" s="30"/>
      <c r="Q19" s="5"/>
      <c r="R19" s="5"/>
    </row>
    <row r="20" spans="2:26" ht="15" x14ac:dyDescent="0.25">
      <c r="C20" s="34" t="s">
        <v>5</v>
      </c>
      <c r="D20" s="5"/>
      <c r="E20" s="5"/>
      <c r="F20" s="51">
        <v>100</v>
      </c>
      <c r="G20" s="5"/>
      <c r="H20" s="34" t="s">
        <v>5</v>
      </c>
      <c r="I20" s="5"/>
      <c r="J20" s="5"/>
      <c r="K20" s="50">
        <f>+F20</f>
        <v>100</v>
      </c>
      <c r="L20" s="30"/>
      <c r="M20" s="30"/>
      <c r="N20" s="30"/>
      <c r="O20" s="30"/>
      <c r="P20" s="30"/>
      <c r="Q20" s="5"/>
      <c r="R20" s="5"/>
    </row>
    <row r="21" spans="2:26" ht="15" x14ac:dyDescent="0.25">
      <c r="C21" s="7" t="s">
        <v>26</v>
      </c>
      <c r="D21" s="10"/>
      <c r="E21" s="10"/>
      <c r="F21" s="28">
        <f>+F19+F20</f>
        <v>1024.1464737359083</v>
      </c>
      <c r="G21" s="5"/>
      <c r="H21" s="7" t="s">
        <v>26</v>
      </c>
      <c r="I21" s="10"/>
      <c r="J21" s="10"/>
      <c r="K21" s="28">
        <f>+K19+K20</f>
        <v>1024.1464737359076</v>
      </c>
      <c r="L21" s="30"/>
      <c r="M21" s="30"/>
      <c r="N21" s="30"/>
      <c r="O21" s="30"/>
      <c r="P21" s="30"/>
      <c r="Q21" s="5"/>
      <c r="R21" s="5"/>
    </row>
    <row r="22" spans="2:26" ht="15" x14ac:dyDescent="0.25">
      <c r="G22" s="5"/>
      <c r="L22" s="30"/>
      <c r="M22" s="30"/>
      <c r="N22" s="30"/>
      <c r="O22" s="30"/>
      <c r="P22" s="30"/>
      <c r="Q22" s="5"/>
      <c r="R22" s="5"/>
    </row>
    <row r="23" spans="2:26" ht="29.25" customHeight="1" x14ac:dyDescent="0.25">
      <c r="C23" s="71" t="s">
        <v>25</v>
      </c>
      <c r="D23" s="71"/>
      <c r="E23" s="71"/>
      <c r="F23" s="29">
        <f>+F17/F19</f>
        <v>0.99341791150354619</v>
      </c>
      <c r="G23" s="5"/>
      <c r="H23" s="71" t="s">
        <v>25</v>
      </c>
      <c r="I23" s="71"/>
      <c r="J23" s="71"/>
      <c r="K23" s="29">
        <f>+K17/K19</f>
        <v>0.99341791150354619</v>
      </c>
      <c r="L23" s="30"/>
      <c r="M23" s="30"/>
      <c r="N23" s="30"/>
      <c r="O23" s="30"/>
      <c r="P23" s="30"/>
      <c r="Q23" s="5"/>
      <c r="R23" s="5"/>
    </row>
    <row r="24" spans="2:26" ht="15" x14ac:dyDescent="0.25">
      <c r="C24" s="5"/>
      <c r="D24" s="5"/>
      <c r="E24" s="5"/>
      <c r="F24" s="5"/>
      <c r="G24" s="31"/>
      <c r="H24" s="30"/>
      <c r="I24" s="30"/>
      <c r="J24" s="30"/>
      <c r="K24" s="30"/>
      <c r="L24" s="30"/>
      <c r="M24" s="30"/>
      <c r="N24" s="30"/>
      <c r="O24" s="30"/>
      <c r="P24" s="30"/>
      <c r="Q24" s="5"/>
      <c r="R24" s="5"/>
    </row>
    <row r="25" spans="2:26" ht="15" hidden="1" outlineLevel="1" x14ac:dyDescent="0.25">
      <c r="C25" s="5"/>
      <c r="D25" s="5"/>
      <c r="E25" s="5"/>
      <c r="F25" s="5"/>
      <c r="G25" s="31">
        <v>1</v>
      </c>
      <c r="H25" s="30">
        <f>+G25+1</f>
        <v>2</v>
      </c>
      <c r="I25" s="30">
        <f t="shared" ref="I25:K25" si="0">+H25+1</f>
        <v>3</v>
      </c>
      <c r="J25" s="30">
        <f>+I25+1</f>
        <v>4</v>
      </c>
      <c r="K25" s="30">
        <f t="shared" si="0"/>
        <v>5</v>
      </c>
      <c r="L25" s="30">
        <f t="shared" ref="L25" si="1">+K25+1</f>
        <v>6</v>
      </c>
      <c r="M25" s="30">
        <f t="shared" ref="M25" si="2">+L25+1</f>
        <v>7</v>
      </c>
      <c r="N25" s="30">
        <f t="shared" ref="N25" si="3">+M25+1</f>
        <v>8</v>
      </c>
      <c r="O25" s="30">
        <f t="shared" ref="O25" si="4">+N25+1</f>
        <v>9</v>
      </c>
      <c r="P25" s="30">
        <f t="shared" ref="P25" si="5">+O25+1</f>
        <v>10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2:26" ht="15" hidden="1" outlineLevel="1" x14ac:dyDescent="0.25">
      <c r="C26" s="5"/>
      <c r="D26" s="5"/>
      <c r="E26" s="5"/>
      <c r="F26" s="5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5"/>
      <c r="R26" s="5"/>
    </row>
    <row r="27" spans="2:26" ht="15" collapsed="1" x14ac:dyDescent="0.25">
      <c r="B27" s="37"/>
      <c r="C27" s="37"/>
      <c r="D27" s="37"/>
      <c r="E27" s="37"/>
      <c r="F27" s="37"/>
      <c r="G27" s="41" t="s">
        <v>6</v>
      </c>
      <c r="H27" s="42"/>
      <c r="I27" s="42"/>
      <c r="J27" s="42"/>
      <c r="K27" s="42"/>
      <c r="L27" s="42"/>
      <c r="M27" s="42"/>
      <c r="N27" s="42"/>
      <c r="O27" s="42"/>
      <c r="P27" s="42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30.75" customHeight="1" x14ac:dyDescent="0.25">
      <c r="B28" s="37"/>
      <c r="C28" s="75" t="s">
        <v>19</v>
      </c>
      <c r="D28" s="75"/>
      <c r="E28" s="38"/>
      <c r="F28" s="60" t="s">
        <v>17</v>
      </c>
      <c r="G28" s="40" t="s">
        <v>7</v>
      </c>
      <c r="H28" s="40" t="s">
        <v>8</v>
      </c>
      <c r="I28" s="40" t="s">
        <v>9</v>
      </c>
      <c r="J28" s="40" t="s">
        <v>10</v>
      </c>
      <c r="K28" s="40" t="s">
        <v>11</v>
      </c>
      <c r="L28" s="40" t="s">
        <v>12</v>
      </c>
      <c r="M28" s="40" t="s">
        <v>13</v>
      </c>
      <c r="N28" s="40" t="s">
        <v>14</v>
      </c>
      <c r="O28" s="40" t="s">
        <v>15</v>
      </c>
      <c r="P28" s="40" t="s">
        <v>16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15" x14ac:dyDescent="0.25">
      <c r="C29" s="6"/>
      <c r="D29" s="6"/>
      <c r="E29" s="6"/>
      <c r="F29" s="6"/>
      <c r="G29" s="7"/>
      <c r="H29" s="7"/>
      <c r="I29" s="7"/>
      <c r="J29" s="7"/>
      <c r="K29" s="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15" outlineLevel="1" x14ac:dyDescent="0.25">
      <c r="C30" s="6" t="s">
        <v>32</v>
      </c>
      <c r="D30" s="6"/>
      <c r="E30" s="6"/>
      <c r="F30" s="69" t="s">
        <v>47</v>
      </c>
      <c r="G30" s="52">
        <v>0.1</v>
      </c>
      <c r="H30" s="53">
        <f>+G30*(1+H31)</f>
        <v>1.1000000000000001</v>
      </c>
      <c r="I30" s="53">
        <f t="shared" ref="I30:P30" si="6">+H30*(1+I31)</f>
        <v>8.8000000000000007</v>
      </c>
      <c r="J30" s="53">
        <f t="shared" si="6"/>
        <v>52.800000000000004</v>
      </c>
      <c r="K30" s="53">
        <f t="shared" si="6"/>
        <v>158.4</v>
      </c>
      <c r="L30" s="53">
        <f t="shared" si="6"/>
        <v>285.12</v>
      </c>
      <c r="M30" s="53">
        <f t="shared" si="6"/>
        <v>370.65600000000001</v>
      </c>
      <c r="N30" s="53">
        <f t="shared" si="6"/>
        <v>444.78719999999998</v>
      </c>
      <c r="O30" s="53">
        <f t="shared" si="6"/>
        <v>489.26591999999999</v>
      </c>
      <c r="P30" s="53">
        <f t="shared" si="6"/>
        <v>513.72921600000006</v>
      </c>
      <c r="Q30" s="55"/>
      <c r="R30" s="5"/>
      <c r="S30" s="5"/>
      <c r="T30" s="5"/>
      <c r="U30" s="5"/>
      <c r="V30" s="5"/>
      <c r="W30" s="5"/>
      <c r="X30" s="5"/>
      <c r="Y30" s="5"/>
      <c r="Z30" s="5"/>
    </row>
    <row r="31" spans="2:26" ht="15" outlineLevel="1" x14ac:dyDescent="0.25">
      <c r="C31" s="14" t="s">
        <v>18</v>
      </c>
      <c r="D31" s="6"/>
      <c r="E31" s="6"/>
      <c r="F31" s="69" t="s">
        <v>1</v>
      </c>
      <c r="G31" s="22">
        <v>0</v>
      </c>
      <c r="H31" s="22">
        <v>10</v>
      </c>
      <c r="I31" s="22">
        <v>7</v>
      </c>
      <c r="J31" s="22">
        <v>5</v>
      </c>
      <c r="K31" s="22">
        <v>2</v>
      </c>
      <c r="L31" s="22">
        <v>0.8</v>
      </c>
      <c r="M31" s="22">
        <v>0.3</v>
      </c>
      <c r="N31" s="22">
        <v>0.2</v>
      </c>
      <c r="O31" s="22">
        <v>0.1</v>
      </c>
      <c r="P31" s="22">
        <v>0.05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15" outlineLevel="1" x14ac:dyDescent="0.25">
      <c r="C32" s="6"/>
      <c r="D32" s="6"/>
      <c r="E32" s="6"/>
      <c r="F32" s="69"/>
      <c r="G32" s="7"/>
      <c r="H32" s="7"/>
      <c r="I32" s="7"/>
      <c r="J32" s="7"/>
      <c r="K32" s="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26" ht="15" outlineLevel="1" x14ac:dyDescent="0.25">
      <c r="C33" s="6" t="s">
        <v>51</v>
      </c>
      <c r="D33" s="6"/>
      <c r="E33" s="6"/>
      <c r="F33" s="69" t="s">
        <v>1</v>
      </c>
      <c r="G33" s="22">
        <v>0</v>
      </c>
      <c r="H33" s="22">
        <v>0.02</v>
      </c>
      <c r="I33" s="22">
        <v>0.03</v>
      </c>
      <c r="J33" s="22">
        <v>0.04</v>
      </c>
      <c r="K33" s="22">
        <v>0.05</v>
      </c>
      <c r="L33" s="22">
        <v>0.05</v>
      </c>
      <c r="M33" s="22">
        <v>0.06</v>
      </c>
      <c r="N33" s="22">
        <v>7.0000000000000007E-2</v>
      </c>
      <c r="O33" s="22">
        <v>7.0000000000000007E-2</v>
      </c>
      <c r="P33" s="22">
        <v>0.08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3:26" ht="15" outlineLevel="1" x14ac:dyDescent="0.25">
      <c r="C34" s="6" t="s">
        <v>52</v>
      </c>
      <c r="D34" s="6"/>
      <c r="E34" s="6"/>
      <c r="F34" s="69" t="s">
        <v>48</v>
      </c>
      <c r="G34" s="53">
        <f>+G30*G33</f>
        <v>0</v>
      </c>
      <c r="H34" s="53">
        <f t="shared" ref="H34:P34" si="7">+H30*H33</f>
        <v>2.2000000000000002E-2</v>
      </c>
      <c r="I34" s="53">
        <f t="shared" si="7"/>
        <v>0.26400000000000001</v>
      </c>
      <c r="J34" s="53">
        <f t="shared" si="7"/>
        <v>2.1120000000000001</v>
      </c>
      <c r="K34" s="53">
        <f t="shared" si="7"/>
        <v>7.9200000000000008</v>
      </c>
      <c r="L34" s="53">
        <f t="shared" si="7"/>
        <v>14.256</v>
      </c>
      <c r="M34" s="53">
        <f t="shared" si="7"/>
        <v>22.239359999999998</v>
      </c>
      <c r="N34" s="53">
        <f t="shared" si="7"/>
        <v>31.135104000000002</v>
      </c>
      <c r="O34" s="53">
        <f t="shared" si="7"/>
        <v>34.248614400000001</v>
      </c>
      <c r="P34" s="53">
        <f t="shared" si="7"/>
        <v>41.098337280000003</v>
      </c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3:26" ht="15" outlineLevel="1" x14ac:dyDescent="0.25">
      <c r="C35" s="6"/>
      <c r="D35" s="6"/>
      <c r="E35" s="6"/>
      <c r="F35" s="61"/>
      <c r="G35" s="7"/>
      <c r="H35" s="7"/>
      <c r="I35" s="7"/>
      <c r="J35" s="7"/>
      <c r="K35" s="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3:26" ht="15" outlineLevel="1" x14ac:dyDescent="0.25">
      <c r="C36" s="6" t="s">
        <v>53</v>
      </c>
      <c r="D36" s="6"/>
      <c r="E36" s="6"/>
      <c r="F36" s="69" t="s">
        <v>1</v>
      </c>
      <c r="G36" s="22">
        <v>0</v>
      </c>
      <c r="H36" s="22">
        <v>0</v>
      </c>
      <c r="I36" s="22">
        <v>0.01</v>
      </c>
      <c r="J36" s="22">
        <v>0.01</v>
      </c>
      <c r="K36" s="22">
        <v>0.02</v>
      </c>
      <c r="L36" s="22">
        <v>0.02</v>
      </c>
      <c r="M36" s="22">
        <v>0.03</v>
      </c>
      <c r="N36" s="22">
        <v>0.03</v>
      </c>
      <c r="O36" s="22">
        <v>0.03</v>
      </c>
      <c r="P36" s="22">
        <v>0.03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 ht="15" outlineLevel="1" x14ac:dyDescent="0.25">
      <c r="C37" s="6"/>
      <c r="D37" s="6"/>
      <c r="E37" s="6"/>
      <c r="F37" s="61"/>
      <c r="G37" s="7"/>
      <c r="H37" s="7"/>
      <c r="I37" s="7"/>
      <c r="J37" s="7"/>
      <c r="K37" s="7"/>
      <c r="L37" s="5"/>
      <c r="M37" s="5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 ht="27.75" customHeight="1" outlineLevel="1" x14ac:dyDescent="0.25">
      <c r="C38" s="71" t="s">
        <v>33</v>
      </c>
      <c r="D38" s="71"/>
      <c r="E38" s="6"/>
      <c r="F38" s="62" t="s">
        <v>48</v>
      </c>
      <c r="G38" s="53">
        <f>G34+0*(1-G36)</f>
        <v>0</v>
      </c>
      <c r="H38" s="53">
        <f>+H34+G38*(1-H36)</f>
        <v>2.2000000000000002E-2</v>
      </c>
      <c r="I38" s="53">
        <f t="shared" ref="I38:P38" si="8">+I34+H38*(1-I36)</f>
        <v>0.28578000000000003</v>
      </c>
      <c r="J38" s="53">
        <f t="shared" si="8"/>
        <v>2.3949221999999999</v>
      </c>
      <c r="K38" s="53">
        <f t="shared" si="8"/>
        <v>10.267023756</v>
      </c>
      <c r="L38" s="53">
        <f t="shared" si="8"/>
        <v>24.317683280880001</v>
      </c>
      <c r="M38" s="53">
        <f t="shared" si="8"/>
        <v>45.827512782453596</v>
      </c>
      <c r="N38" s="53">
        <f t="shared" si="8"/>
        <v>75.587791398979988</v>
      </c>
      <c r="O38" s="53">
        <f t="shared" si="8"/>
        <v>107.56877205701059</v>
      </c>
      <c r="P38" s="53">
        <f t="shared" si="8"/>
        <v>145.44004617530027</v>
      </c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3:26" ht="15" outlineLevel="1" x14ac:dyDescent="0.25">
      <c r="C39" s="6" t="s">
        <v>49</v>
      </c>
      <c r="D39" s="6"/>
      <c r="E39" s="6"/>
      <c r="F39" s="63" t="s">
        <v>50</v>
      </c>
      <c r="G39" s="56">
        <v>0</v>
      </c>
      <c r="H39" s="57">
        <v>10</v>
      </c>
      <c r="I39" s="57">
        <v>10</v>
      </c>
      <c r="J39" s="57">
        <v>12</v>
      </c>
      <c r="K39" s="57">
        <v>12</v>
      </c>
      <c r="L39" s="57">
        <v>12.5</v>
      </c>
      <c r="M39" s="57">
        <v>12.5</v>
      </c>
      <c r="N39" s="57">
        <v>13</v>
      </c>
      <c r="O39" s="57">
        <v>13</v>
      </c>
      <c r="P39" s="57">
        <v>13</v>
      </c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3:26" ht="15" outlineLevel="1" x14ac:dyDescent="0.25">
      <c r="C40" s="6"/>
      <c r="D40" s="6"/>
      <c r="E40" s="6"/>
      <c r="F40" s="59"/>
      <c r="G40" s="7"/>
      <c r="H40" s="7"/>
      <c r="I40" s="7"/>
      <c r="J40" s="7"/>
      <c r="K40" s="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3:26" ht="15" outlineLevel="1" x14ac:dyDescent="0.25">
      <c r="C41" s="7" t="s">
        <v>35</v>
      </c>
      <c r="D41" s="6"/>
      <c r="E41" s="6"/>
      <c r="F41" s="63" t="s">
        <v>46</v>
      </c>
      <c r="G41" s="9">
        <f>+G38*G39</f>
        <v>0</v>
      </c>
      <c r="H41" s="9">
        <f t="shared" ref="H41:P41" si="9">+H38*H39</f>
        <v>0.22000000000000003</v>
      </c>
      <c r="I41" s="9">
        <f t="shared" si="9"/>
        <v>2.8578000000000001</v>
      </c>
      <c r="J41" s="70">
        <f t="shared" si="9"/>
        <v>28.739066399999999</v>
      </c>
      <c r="K41" s="9">
        <f t="shared" si="9"/>
        <v>123.204285072</v>
      </c>
      <c r="L41" s="9">
        <f t="shared" si="9"/>
        <v>303.97104101100001</v>
      </c>
      <c r="M41" s="9">
        <f t="shared" si="9"/>
        <v>572.84390978066995</v>
      </c>
      <c r="N41" s="9">
        <f t="shared" si="9"/>
        <v>982.64128818673987</v>
      </c>
      <c r="O41" s="9">
        <f t="shared" si="9"/>
        <v>1398.3940367411376</v>
      </c>
      <c r="P41" s="9">
        <f t="shared" si="9"/>
        <v>1890.7206002789035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3:26" ht="15" outlineLevel="1" x14ac:dyDescent="0.25">
      <c r="C42" s="58" t="s">
        <v>34</v>
      </c>
      <c r="D42" s="6"/>
      <c r="E42" s="6"/>
      <c r="F42" s="62" t="s">
        <v>1</v>
      </c>
      <c r="G42" s="12" t="str">
        <f>IFERROR(+G41/F41-1,"N/A")</f>
        <v>N/A</v>
      </c>
      <c r="H42" s="12" t="str">
        <f>IFERROR(+H41/G41-1,"N/A")</f>
        <v>N/A</v>
      </c>
      <c r="I42" s="12">
        <f t="shared" ref="I42:P42" si="10">IFERROR(+I41/H41-1,"N/A")</f>
        <v>11.989999999999998</v>
      </c>
      <c r="J42" s="12">
        <f t="shared" si="10"/>
        <v>9.0563602771362586</v>
      </c>
      <c r="K42" s="12">
        <f t="shared" si="10"/>
        <v>3.2869967784339718</v>
      </c>
      <c r="L42" s="12">
        <f t="shared" si="10"/>
        <v>1.4672115976596167</v>
      </c>
      <c r="M42" s="12">
        <f t="shared" si="10"/>
        <v>0.88453448682284197</v>
      </c>
      <c r="N42" s="12">
        <f t="shared" si="10"/>
        <v>0.71537354488585359</v>
      </c>
      <c r="O42" s="12">
        <f t="shared" si="10"/>
        <v>0.42309717040445438</v>
      </c>
      <c r="P42" s="12">
        <f t="shared" si="10"/>
        <v>0.35206569150216027</v>
      </c>
      <c r="Q42" s="12"/>
      <c r="R42" s="5"/>
      <c r="S42" s="5"/>
      <c r="T42" s="5"/>
      <c r="U42" s="5"/>
      <c r="V42" s="5"/>
      <c r="W42" s="5"/>
      <c r="X42" s="5"/>
      <c r="Y42" s="5"/>
      <c r="Z42" s="5"/>
    </row>
    <row r="43" spans="3:26" ht="15" outlineLevel="1" x14ac:dyDescent="0.25">
      <c r="C43" s="14"/>
      <c r="D43" s="6"/>
      <c r="E43" s="6"/>
      <c r="F43" s="59"/>
      <c r="G43" s="17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5"/>
      <c r="S43" s="5"/>
      <c r="T43" s="5"/>
      <c r="U43" s="5"/>
      <c r="V43" s="5"/>
      <c r="W43" s="5"/>
      <c r="X43" s="5"/>
      <c r="Y43" s="5"/>
      <c r="Z43" s="5"/>
    </row>
    <row r="44" spans="3:26" ht="15" outlineLevel="1" x14ac:dyDescent="0.25">
      <c r="C44" s="7" t="s">
        <v>43</v>
      </c>
      <c r="D44" s="6"/>
      <c r="E44" s="6"/>
      <c r="F44" s="63" t="s">
        <v>46</v>
      </c>
      <c r="G44" s="19">
        <v>-10</v>
      </c>
      <c r="H44" s="19">
        <v>-9</v>
      </c>
      <c r="I44" s="21">
        <f>+I41*I45</f>
        <v>-0.57156000000000007</v>
      </c>
      <c r="J44" s="21">
        <f>+J41*J45</f>
        <v>-1.43695332</v>
      </c>
      <c r="K44" s="21">
        <f t="shared" ref="K44:N44" si="11">+K41*K45</f>
        <v>6.1602142536000004</v>
      </c>
      <c r="L44" s="21">
        <f t="shared" si="11"/>
        <v>30.397104101100002</v>
      </c>
      <c r="M44" s="21">
        <f t="shared" si="11"/>
        <v>85.926586467100492</v>
      </c>
      <c r="N44" s="21">
        <f t="shared" si="11"/>
        <v>196.52825763734799</v>
      </c>
      <c r="O44" s="21">
        <f t="shared" ref="O44:P44" si="12">+O41*O45</f>
        <v>349.5985091852844</v>
      </c>
      <c r="P44" s="21">
        <f t="shared" si="12"/>
        <v>472.68015006972587</v>
      </c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3:26" ht="15" outlineLevel="1" x14ac:dyDescent="0.25">
      <c r="C45" s="14" t="s">
        <v>44</v>
      </c>
      <c r="D45" s="6"/>
      <c r="E45" s="6"/>
      <c r="F45" s="62" t="s">
        <v>1</v>
      </c>
      <c r="G45" s="12" t="str">
        <f>IFERROR(+G44/G41,"N/A")</f>
        <v>N/A</v>
      </c>
      <c r="H45" s="12">
        <f t="shared" ref="H45" si="13">IFERROR(+H44/H41,"N/A")</f>
        <v>-40.909090909090907</v>
      </c>
      <c r="I45" s="22">
        <v>-0.2</v>
      </c>
      <c r="J45" s="22">
        <v>-0.05</v>
      </c>
      <c r="K45" s="22">
        <v>0.05</v>
      </c>
      <c r="L45" s="22">
        <v>0.1</v>
      </c>
      <c r="M45" s="22">
        <v>0.15</v>
      </c>
      <c r="N45" s="22">
        <v>0.2</v>
      </c>
      <c r="O45" s="22">
        <v>0.25</v>
      </c>
      <c r="P45" s="22">
        <v>0.25</v>
      </c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3:26" ht="15" outlineLevel="1" x14ac:dyDescent="0.25">
      <c r="C46" s="7"/>
      <c r="D46" s="6"/>
      <c r="E46" s="6"/>
      <c r="F46" s="59"/>
      <c r="G46" s="6"/>
      <c r="H46" s="6"/>
      <c r="I46" s="6"/>
      <c r="J46" s="8"/>
      <c r="K46" s="8"/>
      <c r="L46" s="8"/>
      <c r="M46" s="8"/>
      <c r="N46" s="8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3:26" ht="15" outlineLevel="1" x14ac:dyDescent="0.25">
      <c r="C47" s="6" t="s">
        <v>45</v>
      </c>
      <c r="D47" s="6"/>
      <c r="E47" s="6"/>
      <c r="F47" s="63" t="s">
        <v>46</v>
      </c>
      <c r="G47" s="20">
        <f>MIN(0,-G44*Tax_Rate)</f>
        <v>0</v>
      </c>
      <c r="H47" s="20">
        <f t="shared" ref="H47:P47" si="14">MIN(0,-H44*Tax_Rate)</f>
        <v>0</v>
      </c>
      <c r="I47" s="20">
        <f t="shared" si="14"/>
        <v>0</v>
      </c>
      <c r="J47" s="20">
        <f t="shared" si="14"/>
        <v>0</v>
      </c>
      <c r="K47" s="20">
        <f t="shared" si="14"/>
        <v>-1.8480642760800001</v>
      </c>
      <c r="L47" s="20">
        <f t="shared" si="14"/>
        <v>-9.1191312303299998</v>
      </c>
      <c r="M47" s="20">
        <f t="shared" si="14"/>
        <v>-25.777975940130148</v>
      </c>
      <c r="N47" s="20">
        <f t="shared" si="14"/>
        <v>-58.958477291204396</v>
      </c>
      <c r="O47" s="20">
        <f t="shared" si="14"/>
        <v>-104.87955275558532</v>
      </c>
      <c r="P47" s="20">
        <f t="shared" si="14"/>
        <v>-141.80404502091775</v>
      </c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3:26" ht="15" outlineLevel="1" x14ac:dyDescent="0.25">
      <c r="C48" s="7"/>
      <c r="D48" s="6"/>
      <c r="E48" s="6"/>
      <c r="F48" s="59"/>
      <c r="G48" s="8"/>
      <c r="H48" s="8"/>
      <c r="I48" s="8"/>
      <c r="J48" s="8"/>
      <c r="K48" s="8"/>
      <c r="L48" s="8"/>
      <c r="M48" s="8"/>
      <c r="N48" s="8"/>
      <c r="O48" s="8"/>
      <c r="P48" s="8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8.5" customHeight="1" outlineLevel="1" x14ac:dyDescent="0.25">
      <c r="C49" s="77" t="s">
        <v>42</v>
      </c>
      <c r="D49" s="77"/>
      <c r="E49" s="77"/>
      <c r="F49" s="63" t="s">
        <v>46</v>
      </c>
      <c r="G49" s="21">
        <f>+G44+G47</f>
        <v>-10</v>
      </c>
      <c r="H49" s="21">
        <f t="shared" ref="H49:I49" si="15">+H44+H47</f>
        <v>-9</v>
      </c>
      <c r="I49" s="21">
        <f t="shared" si="15"/>
        <v>-0.57156000000000007</v>
      </c>
      <c r="J49" s="21">
        <f>+J44+J47</f>
        <v>-1.43695332</v>
      </c>
      <c r="K49" s="21">
        <f t="shared" ref="K49:N49" si="16">+K44+K47</f>
        <v>4.3121499775200007</v>
      </c>
      <c r="L49" s="21">
        <f t="shared" si="16"/>
        <v>21.27797287077</v>
      </c>
      <c r="M49" s="21">
        <f t="shared" si="16"/>
        <v>60.148610526970344</v>
      </c>
      <c r="N49" s="21">
        <f t="shared" si="16"/>
        <v>137.5697803461436</v>
      </c>
      <c r="O49" s="21">
        <f t="shared" ref="O49:P49" si="17">+O44+O47</f>
        <v>244.71895642969906</v>
      </c>
      <c r="P49" s="21">
        <f t="shared" si="17"/>
        <v>330.87610504880809</v>
      </c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 outlineLevel="1" x14ac:dyDescent="0.25">
      <c r="C50" s="7"/>
      <c r="D50" s="6"/>
      <c r="E50" s="6"/>
      <c r="F50" s="59"/>
      <c r="G50" s="8"/>
      <c r="H50" s="8"/>
      <c r="I50" s="8"/>
      <c r="J50" s="8"/>
      <c r="K50" s="8"/>
      <c r="L50" s="8"/>
      <c r="M50" s="8"/>
      <c r="N50" s="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 outlineLevel="1" x14ac:dyDescent="0.25">
      <c r="C51" s="7" t="s">
        <v>41</v>
      </c>
      <c r="D51" s="6"/>
      <c r="E51" s="6"/>
      <c r="F51" s="59"/>
      <c r="G51" s="8"/>
      <c r="H51" s="8"/>
      <c r="I51" s="8"/>
      <c r="J51" s="8"/>
      <c r="K51" s="8"/>
      <c r="L51" s="8"/>
      <c r="M51" s="8"/>
      <c r="N51" s="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 outlineLevel="1" x14ac:dyDescent="0.25">
      <c r="C52" s="14" t="s">
        <v>40</v>
      </c>
      <c r="D52" s="6"/>
      <c r="E52" s="6"/>
      <c r="F52" s="63" t="s">
        <v>46</v>
      </c>
      <c r="G52" s="18">
        <v>0.1</v>
      </c>
      <c r="H52" s="18">
        <v>0.2</v>
      </c>
      <c r="I52" s="18">
        <v>0.3</v>
      </c>
      <c r="J52" s="20">
        <f>+J53*J41</f>
        <v>0.86217199199999994</v>
      </c>
      <c r="K52" s="20">
        <f t="shared" ref="K52:N52" si="18">+K53*K41</f>
        <v>3.6961285521599998</v>
      </c>
      <c r="L52" s="20">
        <f t="shared" si="18"/>
        <v>9.1191312303299998</v>
      </c>
      <c r="M52" s="20">
        <f t="shared" si="18"/>
        <v>17.185317293420098</v>
      </c>
      <c r="N52" s="20">
        <f t="shared" si="18"/>
        <v>29.479238645602194</v>
      </c>
      <c r="O52" s="20">
        <f t="shared" ref="O52:P52" si="19">+O53*O41</f>
        <v>41.951821102234128</v>
      </c>
      <c r="P52" s="20">
        <f t="shared" si="19"/>
        <v>56.721618008367102</v>
      </c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 outlineLevel="1" x14ac:dyDescent="0.25">
      <c r="C53" s="15" t="s">
        <v>36</v>
      </c>
      <c r="D53" s="6"/>
      <c r="E53" s="6"/>
      <c r="F53" s="62" t="s">
        <v>1</v>
      </c>
      <c r="G53" s="12" t="str">
        <f>IFERROR(+G52/G41,"N/A")</f>
        <v>N/A</v>
      </c>
      <c r="H53" s="12">
        <f t="shared" ref="H53:I53" si="20">IFERROR(+H52/H41,"N/A")</f>
        <v>0.90909090909090906</v>
      </c>
      <c r="I53" s="12">
        <f t="shared" si="20"/>
        <v>0.10497585555322275</v>
      </c>
      <c r="J53" s="22">
        <v>0.03</v>
      </c>
      <c r="K53" s="22">
        <v>0.03</v>
      </c>
      <c r="L53" s="22">
        <v>0.03</v>
      </c>
      <c r="M53" s="22">
        <v>0.03</v>
      </c>
      <c r="N53" s="22">
        <v>0.03</v>
      </c>
      <c r="O53" s="22">
        <v>0.03</v>
      </c>
      <c r="P53" s="22">
        <v>0.03</v>
      </c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outlineLevel="1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outlineLevel="1" x14ac:dyDescent="0.25">
      <c r="C55" s="59" t="s">
        <v>38</v>
      </c>
      <c r="D55" s="6"/>
      <c r="E55" s="6"/>
      <c r="F55" s="63" t="s">
        <v>46</v>
      </c>
      <c r="G55" s="18">
        <v>0</v>
      </c>
      <c r="H55" s="18">
        <v>0</v>
      </c>
      <c r="I55" s="18">
        <v>0</v>
      </c>
      <c r="J55" s="20">
        <f>+J56*(J41-I41)</f>
        <v>-1.29406332</v>
      </c>
      <c r="K55" s="20">
        <f t="shared" ref="K55:P55" si="21">+K56*(K41-J41)</f>
        <v>-4.7232609336000007</v>
      </c>
      <c r="L55" s="20">
        <f t="shared" si="21"/>
        <v>-9.0383377969500014</v>
      </c>
      <c r="M55" s="20">
        <f t="shared" si="21"/>
        <v>-13.443643438483498</v>
      </c>
      <c r="N55" s="20">
        <f t="shared" si="21"/>
        <v>-20.489868920303497</v>
      </c>
      <c r="O55" s="20">
        <f t="shared" si="21"/>
        <v>-20.787637427719886</v>
      </c>
      <c r="P55" s="20">
        <f t="shared" si="21"/>
        <v>-24.616328176888295</v>
      </c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 outlineLevel="1" x14ac:dyDescent="0.25">
      <c r="C56" s="15" t="s">
        <v>39</v>
      </c>
      <c r="D56" s="6"/>
      <c r="E56" s="6"/>
      <c r="F56" s="62" t="s">
        <v>1</v>
      </c>
      <c r="G56" s="12" t="str">
        <f>IFERROR(+G55/(G41-F41),"N/A")</f>
        <v>N/A</v>
      </c>
      <c r="H56" s="12">
        <f>IFERROR(+H55/(H41-G41),"N/A")</f>
        <v>0</v>
      </c>
      <c r="I56" s="12">
        <f>IFERROR(+I55/(I41-H41),"N/A")</f>
        <v>0</v>
      </c>
      <c r="J56" s="22">
        <v>-0.05</v>
      </c>
      <c r="K56" s="23">
        <f>+J56</f>
        <v>-0.05</v>
      </c>
      <c r="L56" s="23">
        <f t="shared" ref="L56:N56" si="22">+K56</f>
        <v>-0.05</v>
      </c>
      <c r="M56" s="23">
        <f t="shared" si="22"/>
        <v>-0.05</v>
      </c>
      <c r="N56" s="23">
        <f t="shared" si="22"/>
        <v>-0.05</v>
      </c>
      <c r="O56" s="23">
        <f t="shared" ref="O56" si="23">+N56</f>
        <v>-0.05</v>
      </c>
      <c r="P56" s="23">
        <f t="shared" ref="P56" si="24">+O56</f>
        <v>-0.05</v>
      </c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" outlineLevel="1" x14ac:dyDescent="0.25">
      <c r="C57" s="14"/>
      <c r="D57" s="6"/>
      <c r="E57" s="6"/>
      <c r="F57" s="59"/>
      <c r="G57" s="6"/>
      <c r="H57" s="6"/>
      <c r="I57" s="6"/>
      <c r="J57" s="8"/>
      <c r="K57" s="8"/>
      <c r="L57" s="8"/>
      <c r="M57" s="8"/>
      <c r="N57" s="8"/>
      <c r="O57" s="8"/>
      <c r="P57" s="8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 outlineLevel="1" x14ac:dyDescent="0.25">
      <c r="C58" s="6" t="s">
        <v>37</v>
      </c>
      <c r="D58" s="6"/>
      <c r="E58" s="6"/>
      <c r="F58" s="63" t="s">
        <v>46</v>
      </c>
      <c r="G58" s="18">
        <v>-0.1</v>
      </c>
      <c r="H58" s="18">
        <v>-0.3</v>
      </c>
      <c r="I58" s="18">
        <v>-0.5</v>
      </c>
      <c r="J58" s="20">
        <f t="shared" ref="J58:P58" si="25">-J59*J41</f>
        <v>-1.1495626560000001</v>
      </c>
      <c r="K58" s="20">
        <f t="shared" si="25"/>
        <v>-4.9281714028800003</v>
      </c>
      <c r="L58" s="20">
        <f t="shared" si="25"/>
        <v>-12.15884164044</v>
      </c>
      <c r="M58" s="20">
        <f t="shared" si="25"/>
        <v>-22.913756391226798</v>
      </c>
      <c r="N58" s="20">
        <f t="shared" si="25"/>
        <v>-39.305651527469593</v>
      </c>
      <c r="O58" s="20">
        <f t="shared" si="25"/>
        <v>-55.935761469645506</v>
      </c>
      <c r="P58" s="20">
        <f t="shared" si="25"/>
        <v>-75.628824011156141</v>
      </c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 outlineLevel="1" x14ac:dyDescent="0.25">
      <c r="C59" s="14" t="s">
        <v>36</v>
      </c>
      <c r="D59" s="6"/>
      <c r="E59" s="6"/>
      <c r="F59" s="62" t="s">
        <v>1</v>
      </c>
      <c r="G59" s="12" t="str">
        <f>IFERROR(-G58/G41,"N/A")</f>
        <v>N/A</v>
      </c>
      <c r="H59" s="12">
        <f>IFERROR(-H58/H41,"N/A")</f>
        <v>1.3636363636363633</v>
      </c>
      <c r="I59" s="12">
        <f t="shared" ref="I59" si="26">IFERROR(-I58/I41,"N/A")</f>
        <v>0.17495975925537124</v>
      </c>
      <c r="J59" s="22">
        <v>0.04</v>
      </c>
      <c r="K59" s="23">
        <f>+J59</f>
        <v>0.04</v>
      </c>
      <c r="L59" s="23">
        <f t="shared" ref="L59:N59" si="27">+K59</f>
        <v>0.04</v>
      </c>
      <c r="M59" s="23">
        <f t="shared" si="27"/>
        <v>0.04</v>
      </c>
      <c r="N59" s="23">
        <f t="shared" si="27"/>
        <v>0.04</v>
      </c>
      <c r="O59" s="23">
        <f t="shared" ref="O59" si="28">+N59</f>
        <v>0.04</v>
      </c>
      <c r="P59" s="23">
        <f t="shared" ref="P59" si="29">+O59</f>
        <v>0.04</v>
      </c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outlineLevel="1" x14ac:dyDescent="0.25">
      <c r="C60" s="7"/>
      <c r="D60" s="6"/>
      <c r="E60" s="6"/>
      <c r="F60" s="59"/>
      <c r="G60" s="11"/>
      <c r="H60" s="11"/>
      <c r="I60" s="11"/>
      <c r="J60" s="8"/>
      <c r="K60" s="8"/>
      <c r="L60" s="8"/>
      <c r="M60" s="8"/>
      <c r="N60" s="8"/>
      <c r="O60" s="8"/>
      <c r="P60" s="8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33" customHeight="1" x14ac:dyDescent="0.25">
      <c r="C61" s="78" t="s">
        <v>20</v>
      </c>
      <c r="D61" s="78"/>
      <c r="E61" s="78"/>
      <c r="F61" s="64" t="s">
        <v>46</v>
      </c>
      <c r="G61" s="32">
        <f>+G49+G52+G55+G58</f>
        <v>-10</v>
      </c>
      <c r="H61" s="32">
        <f t="shared" ref="H61:P61" si="30">+H49+H52+H55+H58</f>
        <v>-9.1000000000000014</v>
      </c>
      <c r="I61" s="32">
        <f t="shared" si="30"/>
        <v>-0.77156000000000002</v>
      </c>
      <c r="J61" s="32">
        <f t="shared" si="30"/>
        <v>-3.0184073040000001</v>
      </c>
      <c r="K61" s="32">
        <f t="shared" si="30"/>
        <v>-1.6431538068000009</v>
      </c>
      <c r="L61" s="32">
        <f t="shared" si="30"/>
        <v>9.1999246637099947</v>
      </c>
      <c r="M61" s="32">
        <f t="shared" si="30"/>
        <v>40.976527990680147</v>
      </c>
      <c r="N61" s="32">
        <f t="shared" si="30"/>
        <v>107.25349854397271</v>
      </c>
      <c r="O61" s="32">
        <f t="shared" si="30"/>
        <v>209.94737863456783</v>
      </c>
      <c r="P61" s="32">
        <f t="shared" si="30"/>
        <v>287.35257086913072</v>
      </c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 x14ac:dyDescent="0.25">
      <c r="A62" s="5"/>
      <c r="B62" s="5"/>
      <c r="C62" s="13" t="s">
        <v>18</v>
      </c>
      <c r="D62" s="5"/>
      <c r="E62" s="5"/>
      <c r="F62" s="62" t="s">
        <v>1</v>
      </c>
      <c r="G62" s="12" t="str">
        <f>IFERROR(+G61/E61-1,"N/A")</f>
        <v>N/A</v>
      </c>
      <c r="H62" s="12">
        <f t="shared" ref="H62:I62" si="31">IFERROR(+H61/G61-1,"N/A")</f>
        <v>-8.9999999999999858E-2</v>
      </c>
      <c r="I62" s="12">
        <f t="shared" si="31"/>
        <v>-0.91521318681318686</v>
      </c>
      <c r="J62" s="12">
        <f t="shared" ref="J62" si="32">IFERROR(+J61/I61-1,"N/A")</f>
        <v>2.9120837057390223</v>
      </c>
      <c r="K62" s="12">
        <f t="shared" ref="K62" si="33">IFERROR(+K61/J61-1,"N/A")</f>
        <v>-0.45562224003947716</v>
      </c>
      <c r="L62" s="12">
        <f t="shared" ref="L62" si="34">IFERROR(+L61/K61-1,"N/A")</f>
        <v>-6.5989430968891511</v>
      </c>
      <c r="M62" s="12">
        <f t="shared" ref="M62" si="35">IFERROR(+M61/L61-1,"N/A")</f>
        <v>3.4540069064169714</v>
      </c>
      <c r="N62" s="12">
        <f t="shared" ref="N62" si="36">IFERROR(+N61/M61-1,"N/A")</f>
        <v>1.6174374404870719</v>
      </c>
      <c r="O62" s="12">
        <f t="shared" ref="O62" si="37">IFERROR(+O61/N61-1,"N/A")</f>
        <v>0.95748746180519051</v>
      </c>
      <c r="P62" s="12">
        <f t="shared" ref="P62" si="38">IFERROR(+P61/O61-1,"N/A")</f>
        <v>0.36868853870899509</v>
      </c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 x14ac:dyDescent="0.25">
      <c r="A63" s="5"/>
      <c r="B63" s="5"/>
      <c r="C63" s="5"/>
      <c r="D63" s="5"/>
      <c r="E63" s="5"/>
      <c r="F63" s="65"/>
      <c r="G63" s="5"/>
      <c r="H63" s="5"/>
      <c r="I63" s="5"/>
      <c r="J63" s="35"/>
      <c r="K63" s="35"/>
      <c r="L63" s="35"/>
      <c r="M63" s="35"/>
      <c r="N63" s="35"/>
      <c r="O63" s="35"/>
      <c r="P63" s="3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 x14ac:dyDescent="0.25">
      <c r="A64" s="5"/>
      <c r="B64" s="5"/>
      <c r="C64" s="16" t="s">
        <v>0</v>
      </c>
      <c r="D64" s="16"/>
      <c r="E64" s="16"/>
      <c r="F64" s="66" t="s">
        <v>46</v>
      </c>
      <c r="G64" s="33">
        <f>+G44+G52</f>
        <v>-9.9</v>
      </c>
      <c r="H64" s="33">
        <f t="shared" ref="H64:P64" si="39">+H44+H52</f>
        <v>-8.8000000000000007</v>
      </c>
      <c r="I64" s="33">
        <f t="shared" si="39"/>
        <v>-0.27156000000000008</v>
      </c>
      <c r="J64" s="33">
        <f t="shared" si="39"/>
        <v>-0.57478132800000004</v>
      </c>
      <c r="K64" s="33">
        <f t="shared" si="39"/>
        <v>9.8563428057600007</v>
      </c>
      <c r="L64" s="33">
        <f t="shared" si="39"/>
        <v>39.516235331430003</v>
      </c>
      <c r="M64" s="33">
        <f t="shared" si="39"/>
        <v>103.11190376052059</v>
      </c>
      <c r="N64" s="33">
        <f t="shared" si="39"/>
        <v>226.00749628295017</v>
      </c>
      <c r="O64" s="33">
        <f t="shared" si="39"/>
        <v>391.55033028751853</v>
      </c>
      <c r="P64" s="33">
        <f t="shared" si="39"/>
        <v>529.40176807809303</v>
      </c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x14ac:dyDescent="0.25">
      <c r="A65" s="5"/>
      <c r="B65" s="5"/>
      <c r="C65" s="13" t="s">
        <v>18</v>
      </c>
      <c r="F65" s="67" t="s">
        <v>1</v>
      </c>
      <c r="G65" s="12" t="str">
        <f>IFERROR(+G64/F64-1,"N/A")</f>
        <v>N/A</v>
      </c>
      <c r="H65" s="12">
        <f t="shared" ref="H65" si="40">IFERROR(+H64/G64-1,"N/A")</f>
        <v>-0.11111111111111105</v>
      </c>
      <c r="I65" s="12">
        <f t="shared" ref="I65" si="41">IFERROR(+I64/H64-1,"N/A")</f>
        <v>-0.96914090909090911</v>
      </c>
      <c r="J65" s="12">
        <f t="shared" ref="J65" si="42">IFERROR(+J64/I64-1,"N/A")</f>
        <v>1.1165905435262919</v>
      </c>
      <c r="K65" s="12">
        <f t="shared" ref="K65" si="43">IFERROR(+K64/J64-1,"N/A")</f>
        <v>-18.147987113735887</v>
      </c>
      <c r="L65" s="12">
        <f t="shared" ref="L65" si="44">IFERROR(+L64/K64-1,"N/A")</f>
        <v>3.0092188461968776</v>
      </c>
      <c r="M65" s="12">
        <f t="shared" ref="M65" si="45">IFERROR(+M64/L64-1,"N/A")</f>
        <v>1.6093554432931656</v>
      </c>
      <c r="N65" s="12">
        <f t="shared" ref="N65" si="46">IFERROR(+N64/M64-1,"N/A")</f>
        <v>1.1918661962430352</v>
      </c>
      <c r="O65" s="12">
        <f t="shared" ref="O65" si="47">IFERROR(+O64/N64-1,"N/A")</f>
        <v>0.73246612049237947</v>
      </c>
      <c r="P65" s="12">
        <f t="shared" ref="P65" si="48">IFERROR(+P64/O64-1,"N/A")</f>
        <v>0.35206569150216027</v>
      </c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 x14ac:dyDescent="0.25">
      <c r="F66" s="68"/>
      <c r="L66" s="5"/>
      <c r="M66" s="5"/>
      <c r="N66" s="5"/>
      <c r="O66" s="5"/>
      <c r="P66" s="5"/>
      <c r="Q66" s="5"/>
      <c r="R66" s="5"/>
    </row>
    <row r="67" spans="1:26" ht="15" x14ac:dyDescent="0.25">
      <c r="L67" s="5"/>
      <c r="M67" s="5"/>
      <c r="N67" s="5"/>
      <c r="O67" s="5"/>
      <c r="P67" s="5"/>
      <c r="Q67" s="5"/>
      <c r="R67" s="5"/>
    </row>
    <row r="68" spans="1:26" ht="15" x14ac:dyDescent="0.25">
      <c r="L68" s="5"/>
      <c r="M68" s="5"/>
      <c r="N68" s="5"/>
      <c r="O68" s="5"/>
      <c r="P68" s="5"/>
      <c r="Q68" s="5"/>
      <c r="R68" s="5"/>
    </row>
    <row r="69" spans="1:26" ht="15" x14ac:dyDescent="0.25">
      <c r="L69" s="5"/>
      <c r="M69" s="5"/>
      <c r="N69" s="5"/>
      <c r="O69" s="5"/>
      <c r="P69" s="5"/>
      <c r="Q69" s="5"/>
      <c r="R69" s="5"/>
    </row>
    <row r="70" spans="1:26" ht="15" x14ac:dyDescent="0.25">
      <c r="L70" s="5"/>
      <c r="M70" s="5"/>
      <c r="N70" s="5"/>
      <c r="O70" s="5"/>
      <c r="P70" s="5"/>
      <c r="Q70" s="5"/>
      <c r="R70" s="5"/>
    </row>
  </sheetData>
  <mergeCells count="14">
    <mergeCell ref="C38:D38"/>
    <mergeCell ref="C49:E49"/>
    <mergeCell ref="C61:E61"/>
    <mergeCell ref="H23:J23"/>
    <mergeCell ref="H17:J17"/>
    <mergeCell ref="H18:J18"/>
    <mergeCell ref="H13:J13"/>
    <mergeCell ref="C13:E13"/>
    <mergeCell ref="C23:E23"/>
    <mergeCell ref="C11:E11"/>
    <mergeCell ref="C28:D28"/>
    <mergeCell ref="C17:E17"/>
    <mergeCell ref="C18:E18"/>
    <mergeCell ref="C15:E15"/>
  </mergeCells>
  <phoneticPr fontId="20" type="noConversion"/>
  <pageMargins left="0.75" right="0.75" top="1" bottom="1" header="0.5" footer="0.5"/>
  <pageSetup scale="47" orientation="portrait" horizontalDpi="200" verticalDpi="200" r:id="rId1"/>
  <headerFooter alignWithMargins="0"/>
  <rowBreaks count="1" manualBreakCount="1">
    <brk id="24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PP-DCF</vt:lpstr>
      <vt:lpstr>Company_Name</vt:lpstr>
      <vt:lpstr>Discount_Rate</vt:lpstr>
      <vt:lpstr>Multiples_Method</vt:lpstr>
      <vt:lpstr>Share_Price</vt:lpstr>
      <vt:lpstr>Tax_Rate</vt:lpstr>
      <vt:lpstr>Terminal_Growth_Rate</vt:lpstr>
      <vt:lpstr>Terminal_Multiple</vt:lpstr>
      <vt:lpstr>'PP-DCF'!Область_печати</vt:lpstr>
    </vt:vector>
  </TitlesOfParts>
  <Company>LENOVO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стоимости бизнеса на основе мобильного приложения</dc:title>
  <dc:creator>ООО "ЭКСПЕРТЫ БИЗНЕС-ПЛАНИРОВАНИЯ"</dc:creator>
  <cp:keywords>расчет стоимости мобильного приложения</cp:keywords>
  <cp:lastModifiedBy>Николай Журавлев</cp:lastModifiedBy>
  <cp:lastPrinted>2012-04-17T02:32:08Z</cp:lastPrinted>
  <dcterms:created xsi:type="dcterms:W3CDTF">2009-06-26T05:31:17Z</dcterms:created>
  <dcterms:modified xsi:type="dcterms:W3CDTF">2021-05-17T08:12:37Z</dcterms:modified>
</cp:coreProperties>
</file>